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663" activeTab="0"/>
  </bookViews>
  <sheets>
    <sheet name="Foaie1" sheetId="1" r:id="rId1"/>
  </sheets>
  <definedNames>
    <definedName name="_xlnm.Print_Titles" localSheetId="0">'Foaie1'!$6:$6</definedName>
    <definedName name="_xlnm.Print_Area" localSheetId="0">'Foaie1'!$A$1:$U$61</definedName>
  </definedNames>
  <calcPr fullCalcOnLoad="1"/>
</workbook>
</file>

<file path=xl/sharedStrings.xml><?xml version="1.0" encoding="utf-8"?>
<sst xmlns="http://schemas.openxmlformats.org/spreadsheetml/2006/main" count="79" uniqueCount="78">
  <si>
    <t>NUME FURNIZOR</t>
  </si>
  <si>
    <t>CABINET PHYSIODINAMIC FIZIOTERAPIE SI RECUPERARE MEDICALA</t>
  </si>
  <si>
    <t>S.C. FIZIOTRIMED SRL</t>
  </si>
  <si>
    <t>S.C.T.B. BUZIAS S.A.</t>
  </si>
  <si>
    <t>CABINET MEDICAL DR.TOTH MARINELA -RECUP MEDICALA</t>
  </si>
  <si>
    <t>CAB.FIZIOTERAPIE SI RECUPERARE ELMAR</t>
  </si>
  <si>
    <t>NR.
FURNIZOR</t>
  </si>
  <si>
    <t>TOTAL RECUPERARE</t>
  </si>
  <si>
    <t>PUNCTE APARATURA FURNIZOR</t>
  </si>
  <si>
    <t>PUNCTE SALA KINETO FURNIZOR</t>
  </si>
  <si>
    <t>TOTAL PUNCTE FURNIZOR</t>
  </si>
  <si>
    <t>RAPORT b/a</t>
  </si>
  <si>
    <t>PUNCTE BAZIN HIDROKINETO FURNIZOR</t>
  </si>
  <si>
    <t>SC FIZIOKINETIC MED SRL</t>
  </si>
  <si>
    <t>TOTAL PUNCTE APARATE+ SALA KINETO+BAZIN HIDRO</t>
  </si>
  <si>
    <t>CENTRUL DE SANATATE SOPHIA</t>
  </si>
  <si>
    <t>SC DARLIFE MEDICAL SRL</t>
  </si>
  <si>
    <t>SC EXPLOMED SRL</t>
  </si>
  <si>
    <t>PUNCTE PERSONAL FURNIZOR</t>
  </si>
  <si>
    <t>Sef Birou</t>
  </si>
  <si>
    <t>SC CENTRUL MEDICALORTHOPEDICS SRL</t>
  </si>
  <si>
    <t>SOCIETATE DE TRATAMENT BALNEAR SI RECUPERATE A CAPACITATII DE MUNCA ''TBRCM SA BUCURESTI SUCURSALA BUZIAS</t>
  </si>
  <si>
    <t>SC CENTRUL DE KINETOTERAPIE SI MASAJ BANAT SRL</t>
  </si>
  <si>
    <t>SPITALUL CLINIC DE URGENTA PENTRU COPII LOUIS TURCANU TIMISOARA</t>
  </si>
  <si>
    <t>SC SOCRATES MEDICAL CENTER SRL</t>
  </si>
  <si>
    <t>SC FIZIOTERAPIE -ANTO MEDICALIS SRL</t>
  </si>
  <si>
    <t>SC M-PROFILAXIS SRL</t>
  </si>
  <si>
    <t>Insp.Mariana Mihai</t>
  </si>
  <si>
    <t>SPITALUL "DR KARL DIEL" JIMBOLIA</t>
  </si>
  <si>
    <t>SC INTERACTMED SRL</t>
  </si>
  <si>
    <t>SC ARTROKINETICA SRL</t>
  </si>
  <si>
    <t>Ec. Aurora Boangiu</t>
  </si>
  <si>
    <t>Ref.Simona Muth</t>
  </si>
  <si>
    <t>Insp.Remus Ceauranu</t>
  </si>
  <si>
    <t xml:space="preserve">VALOARE APARATE 50% </t>
  </si>
  <si>
    <t xml:space="preserve">VALOARE PERSONAL 50% </t>
  </si>
  <si>
    <t xml:space="preserve"> SPITALUL CLINIC MUNICIPAL DE URGENTA TIMISOARA</t>
  </si>
  <si>
    <t>Comisia de contractare</t>
  </si>
  <si>
    <t>Cons. Adrian Mihut</t>
  </si>
  <si>
    <t xml:space="preserve">TOTAL VAL APARATE 50% RECUP </t>
  </si>
  <si>
    <t>Cons. Ana-Maria Orian</t>
  </si>
  <si>
    <t>SC POLICLINICA SANITAS</t>
  </si>
  <si>
    <t>PUNCTE APARATE (B/A*A1)</t>
  </si>
  <si>
    <t>TOTAL PROCEDURI/APARATURA/ORA (a)</t>
  </si>
  <si>
    <t>TOTAL PROCEDURI /PERS MEDIU SANITAR/ORA (b)</t>
  </si>
  <si>
    <t>Cons.Paul Cornea</t>
  </si>
  <si>
    <t>SUMA NECONTRACTATA CONFORM REFERAT NR 3.443/31.01.2020</t>
  </si>
  <si>
    <t>ACUPUNCTURA PROCENT DIN RECUPERARE</t>
  </si>
  <si>
    <t>10,3%</t>
  </si>
  <si>
    <t>Dr Simona Becheru</t>
  </si>
  <si>
    <t>SC FIZIOTERA CONCEPT SRL (SC CABINET MEDICAL DE FIZIOTERAPIE DR BURCHICI ADINA SRL)</t>
  </si>
  <si>
    <t>SC FIZIO KINETIC TM SRL</t>
  </si>
  <si>
    <t>SC ADHD  FIZIO SRL</t>
  </si>
  <si>
    <t>AC ARVA FIZIO SRL</t>
  </si>
  <si>
    <t>TOTAL BUGET DISPONIBIL RECUPERARE SI ACUPUNCTURA IANUARIE-DECEMBRIE 2020</t>
  </si>
  <si>
    <t>BUGET ALOCAT SUPLIMENTAT AN 2020</t>
  </si>
  <si>
    <t>TOTAL VALOARE CONTRACT RECUPERARE SI ACUPUNCTURA IANUARIE-DECEMBRIE 2020</t>
  </si>
  <si>
    <t xml:space="preserve">TOTAL BUGET DISPONIBIL RECUPERARE SI ACUPUNCTURA AN 2020 </t>
  </si>
  <si>
    <t>TOTAL VALOARE DISPONIBILA RECUPERARE AN 2020</t>
  </si>
  <si>
    <t>TOTAL VALOARE DISPONIBILA ACUPUNCTURA AN 2020</t>
  </si>
  <si>
    <t>VALOARE ALOCATA DIN SUPL BUGET ACUPUNCTURA  AN 2019</t>
  </si>
  <si>
    <t>VALOARE CONTRACT ACUPUNCTURA IANUARIE-DECEMBRIE 2020</t>
  </si>
  <si>
    <t>VALOARE ALOCATA DIN SUPL BUGET RECUPERARE AN 2020 FARA ACUPUNCTURA</t>
  </si>
  <si>
    <t>VALOARE ALOCATA RECUPERARE IAN-DEC 2019 FARA ACUPUNCTURA</t>
  </si>
  <si>
    <t>VAL PCT PERSONAL SEP-DEC 2020</t>
  </si>
  <si>
    <t>VAL PCT APARAT SUPL SEP-DEC 2020</t>
  </si>
  <si>
    <t xml:space="preserve">TOTAL VAL PERSONAL SUPL 50% RECUP </t>
  </si>
  <si>
    <t>TOTAL VALOARE DE SUPLIMENTAT PENTRU PERIOADA SEP-DEC 2020</t>
  </si>
  <si>
    <t>VALOARE DISPONIBILA DE SUPL SEP-DEC  2019 ACUPUNCTURA</t>
  </si>
  <si>
    <t>TOTAL VALOARE DE SUPLSEP-DEC 2020</t>
  </si>
  <si>
    <t>PENTRU FURNIZORII DE SERVICII MEDICALE DE MEDICINA FIZICA SI DE REABILITARE</t>
  </si>
  <si>
    <t>TOTAL VAL DISPONIBILA DE SUPLIMENTAT (835.000,00 LEI SUPL BUGET+13.441,22 LEI DISP SUME)</t>
  </si>
  <si>
    <t>VALOARE DE SUPLIMENTAT LUNA SEP 2020</t>
  </si>
  <si>
    <t>VALOARE DE SUPLIMENTAT LUNA OCT 2020</t>
  </si>
  <si>
    <t>VALOARE DE SUPLIMENTAT LUNA NOV 2020</t>
  </si>
  <si>
    <t>VALOARE DE SUPLIMENTAT LUNA DEC 2020</t>
  </si>
  <si>
    <t xml:space="preserve">VALOARE DISPONIBILA DE SUPL SEP-DEC 2019 RECUPERARE </t>
  </si>
  <si>
    <t>SITUATIA  PUNCTAJELOR ACTUALIZATA LA DATA DE 28.09.2020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</si>
</sst>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0.0"/>
    <numFmt numFmtId="173" formatCode="#,##0.00;[Red]#,##0.00"/>
    <numFmt numFmtId="174" formatCode="0.000000"/>
    <numFmt numFmtId="175" formatCode="#,##0.000000000"/>
  </numFmts>
  <fonts count="3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2"/>
      <color indexed="12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2"/>
      <name val="Arial"/>
      <family val="2"/>
    </font>
    <font>
      <b/>
      <sz val="12"/>
      <color indexed="14"/>
      <name val="Arial"/>
      <family val="2"/>
    </font>
    <font>
      <b/>
      <sz val="9"/>
      <name val="Arial"/>
      <family val="2"/>
    </font>
    <font>
      <b/>
      <sz val="11"/>
      <color indexed="12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1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2" borderId="0" applyNumberFormat="0" applyBorder="0" applyAlignment="0" applyProtection="0"/>
    <xf numFmtId="0" fontId="12" fillId="17" borderId="0" applyNumberFormat="0" applyBorder="0" applyAlignment="0" applyProtection="0"/>
    <xf numFmtId="0" fontId="13" fillId="9" borderId="1" applyNumberFormat="0" applyAlignment="0" applyProtection="0"/>
    <xf numFmtId="0" fontId="14" fillId="14" borderId="2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0" borderId="6" applyNumberFormat="0" applyFill="0" applyAlignment="0" applyProtection="0"/>
    <xf numFmtId="0" fontId="22" fillId="10" borderId="0" applyNumberFormat="0" applyBorder="0" applyAlignment="0" applyProtection="0"/>
    <xf numFmtId="0" fontId="0" fillId="5" borderId="7" applyNumberFormat="0" applyFont="0" applyAlignment="0" applyProtection="0"/>
    <xf numFmtId="0" fontId="23" fillId="9" borderId="8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7" fillId="0" borderId="0" xfId="0" applyFont="1" applyFill="1" applyBorder="1" applyAlignment="1">
      <alignment horizontal="left" vertical="center" wrapText="1"/>
    </xf>
    <xf numFmtId="4" fontId="2" fillId="0" borderId="0" xfId="0" applyNumberFormat="1" applyFont="1" applyFill="1" applyAlignment="1">
      <alignment/>
    </xf>
    <xf numFmtId="4" fontId="2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4" fontId="7" fillId="0" borderId="0" xfId="0" applyNumberFormat="1" applyFont="1" applyFill="1" applyAlignment="1">
      <alignment/>
    </xf>
    <xf numFmtId="4" fontId="8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4" fontId="7" fillId="0" borderId="0" xfId="0" applyNumberFormat="1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9" fillId="0" borderId="0" xfId="0" applyFont="1" applyFill="1" applyBorder="1" applyAlignment="1">
      <alignment horizontal="left" vertical="center" wrapText="1"/>
    </xf>
    <xf numFmtId="0" fontId="29" fillId="0" borderId="0" xfId="0" applyFont="1" applyFill="1" applyAlignment="1">
      <alignment/>
    </xf>
    <xf numFmtId="4" fontId="7" fillId="0" borderId="0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4" fontId="31" fillId="0" borderId="0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wrapText="1"/>
    </xf>
    <xf numFmtId="4" fontId="32" fillId="0" borderId="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 quotePrefix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" fontId="31" fillId="0" borderId="0" xfId="0" applyNumberFormat="1" applyFont="1" applyFill="1" applyBorder="1" applyAlignment="1" quotePrefix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4" fontId="33" fillId="0" borderId="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4" fontId="34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4" fontId="35" fillId="0" borderId="0" xfId="0" applyNumberFormat="1" applyFont="1" applyFill="1" applyBorder="1" applyAlignment="1">
      <alignment horizontal="center" vertical="center" wrapText="1"/>
    </xf>
    <xf numFmtId="4" fontId="36" fillId="0" borderId="0" xfId="0" applyNumberFormat="1" applyFont="1" applyFill="1" applyBorder="1" applyAlignment="1">
      <alignment wrapText="1"/>
    </xf>
    <xf numFmtId="4" fontId="31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4" fontId="35" fillId="0" borderId="0" xfId="0" applyNumberFormat="1" applyFont="1" applyFill="1" applyBorder="1" applyAlignment="1">
      <alignment horizontal="center" vertical="center" wrapText="1"/>
    </xf>
    <xf numFmtId="4" fontId="28" fillId="0" borderId="0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27" fillId="0" borderId="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Currency" xfId="56"/>
    <cellStyle name="Currency [0]" xfId="57"/>
    <cellStyle name="Title" xfId="58"/>
    <cellStyle name="Total" xfId="59"/>
    <cellStyle name="Comma" xfId="60"/>
    <cellStyle name="Comma [0]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1"/>
  <sheetViews>
    <sheetView tabSelected="1" zoomScalePageLayoutView="0" workbookViewId="0" topLeftCell="A24">
      <selection activeCell="J63" sqref="J63"/>
    </sheetView>
  </sheetViews>
  <sheetFormatPr defaultColWidth="9.140625" defaultRowHeight="12.75"/>
  <cols>
    <col min="1" max="1" width="9.7109375" style="20" customWidth="1"/>
    <col min="2" max="2" width="57.7109375" style="20" customWidth="1"/>
    <col min="3" max="3" width="15.140625" style="20" customWidth="1"/>
    <col min="4" max="4" width="12.00390625" style="20" customWidth="1"/>
    <col min="5" max="5" width="10.421875" style="20" customWidth="1"/>
    <col min="6" max="6" width="9.421875" style="20" customWidth="1"/>
    <col min="7" max="7" width="11.00390625" style="20" customWidth="1"/>
    <col min="8" max="8" width="9.00390625" style="20" customWidth="1"/>
    <col min="9" max="9" width="9.421875" style="20" customWidth="1"/>
    <col min="10" max="10" width="11.28125" style="20" customWidth="1"/>
    <col min="11" max="11" width="11.00390625" style="20" customWidth="1"/>
    <col min="12" max="12" width="17.8515625" style="20" customWidth="1"/>
    <col min="13" max="13" width="14.00390625" style="20" hidden="1" customWidth="1"/>
    <col min="14" max="14" width="13.140625" style="20" hidden="1" customWidth="1"/>
    <col min="15" max="15" width="14.57421875" style="20" hidden="1" customWidth="1"/>
    <col min="16" max="16" width="14.421875" style="20" hidden="1" customWidth="1"/>
    <col min="17" max="17" width="14.28125" style="20" hidden="1" customWidth="1"/>
    <col min="18" max="18" width="14.7109375" style="20" hidden="1" customWidth="1"/>
    <col min="19" max="19" width="15.57421875" style="20" hidden="1" customWidth="1"/>
    <col min="20" max="20" width="14.7109375" style="20" hidden="1" customWidth="1"/>
    <col min="21" max="16384" width="9.140625" style="20" customWidth="1"/>
  </cols>
  <sheetData>
    <row r="1" spans="3:15" s="7" customFormat="1" ht="12.75">
      <c r="C1" s="17"/>
      <c r="D1" s="17"/>
      <c r="E1" s="17"/>
      <c r="G1" s="17"/>
      <c r="H1" s="17"/>
      <c r="I1" s="17"/>
      <c r="J1" s="17"/>
      <c r="K1" s="17"/>
      <c r="L1" s="17"/>
      <c r="M1" s="17"/>
      <c r="N1" s="17"/>
      <c r="O1" s="17"/>
    </row>
    <row r="2" spans="1:12" s="7" customFormat="1" ht="18">
      <c r="A2" s="17"/>
      <c r="C2" s="56"/>
      <c r="F2" s="18"/>
      <c r="H2" s="56"/>
      <c r="L2" s="56"/>
    </row>
    <row r="3" spans="1:12" s="7" customFormat="1" ht="18">
      <c r="A3" s="17"/>
      <c r="C3" s="24" t="s">
        <v>77</v>
      </c>
      <c r="D3" s="56"/>
      <c r="E3" s="17"/>
      <c r="F3" s="17"/>
      <c r="I3" s="17"/>
      <c r="J3" s="17"/>
      <c r="L3" s="56"/>
    </row>
    <row r="4" spans="1:12" s="7" customFormat="1" ht="18">
      <c r="A4" s="17"/>
      <c r="C4" s="18" t="s">
        <v>70</v>
      </c>
      <c r="D4" s="56"/>
      <c r="I4" s="17"/>
      <c r="J4" s="17"/>
      <c r="L4" s="56"/>
    </row>
    <row r="5" spans="1:15" s="7" customFormat="1" ht="18">
      <c r="A5" s="17"/>
      <c r="B5" s="50"/>
      <c r="C5" s="18"/>
      <c r="D5" s="20"/>
      <c r="E5" s="20"/>
      <c r="F5" s="20"/>
      <c r="G5" s="20"/>
      <c r="H5" s="17"/>
      <c r="I5" s="17"/>
      <c r="O5" s="37"/>
    </row>
    <row r="6" spans="1:20" s="7" customFormat="1" ht="87.75" customHeight="1">
      <c r="A6" s="23" t="s">
        <v>6</v>
      </c>
      <c r="B6" s="2" t="s">
        <v>0</v>
      </c>
      <c r="C6" s="2" t="s">
        <v>8</v>
      </c>
      <c r="D6" s="2" t="s">
        <v>43</v>
      </c>
      <c r="E6" s="2" t="s">
        <v>44</v>
      </c>
      <c r="F6" s="2" t="s">
        <v>11</v>
      </c>
      <c r="G6" s="2" t="s">
        <v>42</v>
      </c>
      <c r="H6" s="2" t="s">
        <v>9</v>
      </c>
      <c r="I6" s="2" t="s">
        <v>12</v>
      </c>
      <c r="J6" s="28" t="s">
        <v>14</v>
      </c>
      <c r="K6" s="28" t="s">
        <v>18</v>
      </c>
      <c r="L6" s="2" t="s">
        <v>10</v>
      </c>
      <c r="M6" s="2" t="s">
        <v>34</v>
      </c>
      <c r="N6" s="2" t="s">
        <v>35</v>
      </c>
      <c r="O6" s="2" t="s">
        <v>67</v>
      </c>
      <c r="P6" s="2" t="s">
        <v>72</v>
      </c>
      <c r="Q6" s="2" t="s">
        <v>73</v>
      </c>
      <c r="R6" s="2" t="s">
        <v>74</v>
      </c>
      <c r="S6" s="2" t="s">
        <v>75</v>
      </c>
      <c r="T6" s="2" t="s">
        <v>69</v>
      </c>
    </row>
    <row r="7" spans="1:21" ht="53.25" customHeight="1">
      <c r="A7" s="2">
        <v>1</v>
      </c>
      <c r="B7" s="54" t="s">
        <v>50</v>
      </c>
      <c r="C7" s="1">
        <v>160</v>
      </c>
      <c r="D7" s="1">
        <f>39+16</f>
        <v>55</v>
      </c>
      <c r="E7" s="1">
        <f>45-2.5+5-5-20</f>
        <v>22.5</v>
      </c>
      <c r="F7" s="19">
        <f aca="true" t="shared" si="0" ref="F7:F18">E7/D7</f>
        <v>0.4090909090909091</v>
      </c>
      <c r="G7" s="19">
        <f>F7*C7</f>
        <v>65.45454545454545</v>
      </c>
      <c r="H7" s="1">
        <v>60</v>
      </c>
      <c r="I7" s="1">
        <v>0</v>
      </c>
      <c r="J7" s="19">
        <f>G7+H7</f>
        <v>125.45454545454545</v>
      </c>
      <c r="K7" s="1">
        <f>107+4.38-2.38-26.5-30</f>
        <v>52.5</v>
      </c>
      <c r="L7" s="19">
        <f>J7+K7</f>
        <v>177.95454545454544</v>
      </c>
      <c r="M7" s="19">
        <f aca="true" t="shared" si="1" ref="M7:M31">J7*$D$56</f>
        <v>10614.047049433515</v>
      </c>
      <c r="N7" s="19">
        <f aca="true" t="shared" si="2" ref="N7:N31">K7*$D$58</f>
        <v>8658.498519238008</v>
      </c>
      <c r="O7" s="19">
        <f aca="true" t="shared" si="3" ref="O7:O31">M7+N7</f>
        <v>19272.54556867152</v>
      </c>
      <c r="P7" s="19">
        <v>4804.586104519493</v>
      </c>
      <c r="Q7" s="19">
        <f>4804.05-0.01</f>
        <v>4804.04</v>
      </c>
      <c r="R7" s="19">
        <f>4804.05-0.01</f>
        <v>4804.04</v>
      </c>
      <c r="S7" s="19">
        <v>4804.05</v>
      </c>
      <c r="T7" s="19">
        <f>P7+Q7+R7+S7</f>
        <v>19216.71610451949</v>
      </c>
      <c r="U7" s="39"/>
    </row>
    <row r="8" spans="1:21" ht="33" customHeight="1">
      <c r="A8" s="2">
        <v>2</v>
      </c>
      <c r="B8" s="1" t="s">
        <v>13</v>
      </c>
      <c r="C8" s="1">
        <f>185-6</f>
        <v>179</v>
      </c>
      <c r="D8" s="1">
        <v>64</v>
      </c>
      <c r="E8" s="1">
        <v>70</v>
      </c>
      <c r="F8" s="19">
        <f t="shared" si="0"/>
        <v>1.09375</v>
      </c>
      <c r="G8" s="19">
        <f>C8</f>
        <v>179</v>
      </c>
      <c r="H8" s="1">
        <v>60</v>
      </c>
      <c r="I8" s="1">
        <v>0</v>
      </c>
      <c r="J8" s="19">
        <f aca="true" t="shared" si="4" ref="J8:J14">G8+H8+I8</f>
        <v>239</v>
      </c>
      <c r="K8" s="1">
        <f>125+3.59</f>
        <v>128.59</v>
      </c>
      <c r="L8" s="19">
        <f aca="true" t="shared" si="5" ref="L8:L31">J8+K8</f>
        <v>367.59000000000003</v>
      </c>
      <c r="M8" s="19">
        <f t="shared" si="1"/>
        <v>20220.52876301501</v>
      </c>
      <c r="N8" s="19">
        <f t="shared" si="2"/>
        <v>21207.54903978696</v>
      </c>
      <c r="O8" s="19">
        <f t="shared" si="3"/>
        <v>41428.07780280197</v>
      </c>
      <c r="P8" s="19">
        <v>10323.702604256494</v>
      </c>
      <c r="Q8" s="19">
        <f>10322.54+0.01</f>
        <v>10322.550000000001</v>
      </c>
      <c r="R8" s="19">
        <v>10322.54</v>
      </c>
      <c r="S8" s="19">
        <v>10322.54</v>
      </c>
      <c r="T8" s="19">
        <f aca="true" t="shared" si="6" ref="T8:T31">P8+Q8+R8+S8</f>
        <v>41291.332604256495</v>
      </c>
      <c r="U8" s="39"/>
    </row>
    <row r="9" spans="1:21" ht="33" customHeight="1">
      <c r="A9" s="2">
        <v>3</v>
      </c>
      <c r="B9" s="1" t="s">
        <v>15</v>
      </c>
      <c r="C9" s="1">
        <v>135</v>
      </c>
      <c r="D9" s="1">
        <v>39</v>
      </c>
      <c r="E9" s="1">
        <v>40</v>
      </c>
      <c r="F9" s="19">
        <f t="shared" si="0"/>
        <v>1.0256410256410255</v>
      </c>
      <c r="G9" s="19">
        <f>C9</f>
        <v>135</v>
      </c>
      <c r="H9" s="1">
        <v>40</v>
      </c>
      <c r="I9" s="1">
        <v>0</v>
      </c>
      <c r="J9" s="19">
        <f t="shared" si="4"/>
        <v>175</v>
      </c>
      <c r="K9" s="1">
        <f>63+2</f>
        <v>65</v>
      </c>
      <c r="L9" s="19">
        <f t="shared" si="5"/>
        <v>240</v>
      </c>
      <c r="M9" s="19">
        <f t="shared" si="1"/>
        <v>14805.826500115592</v>
      </c>
      <c r="N9" s="19">
        <f t="shared" si="2"/>
        <v>10720.045785723249</v>
      </c>
      <c r="O9" s="19">
        <f t="shared" si="3"/>
        <v>25525.872285838843</v>
      </c>
      <c r="P9" s="19">
        <v>6364.727974497607</v>
      </c>
      <c r="Q9" s="19">
        <f>6364.01-0.01</f>
        <v>6364</v>
      </c>
      <c r="R9" s="19">
        <v>6364.01</v>
      </c>
      <c r="S9" s="19">
        <v>6364.01</v>
      </c>
      <c r="T9" s="19">
        <f t="shared" si="6"/>
        <v>25456.747974497608</v>
      </c>
      <c r="U9" s="39"/>
    </row>
    <row r="10" spans="1:21" ht="47.25" customHeight="1">
      <c r="A10" s="2">
        <v>4</v>
      </c>
      <c r="B10" s="1" t="s">
        <v>1</v>
      </c>
      <c r="C10" s="1">
        <f>138-20-20-8+20+10</f>
        <v>120</v>
      </c>
      <c r="D10" s="1">
        <f>52-8-8-2+8+3</f>
        <v>45</v>
      </c>
      <c r="E10" s="1">
        <f>52-10</f>
        <v>42</v>
      </c>
      <c r="F10" s="19">
        <f t="shared" si="0"/>
        <v>0.9333333333333333</v>
      </c>
      <c r="G10" s="19">
        <f>C10*F10</f>
        <v>112</v>
      </c>
      <c r="H10" s="1">
        <v>60</v>
      </c>
      <c r="I10" s="1">
        <v>16</v>
      </c>
      <c r="J10" s="19">
        <f t="shared" si="4"/>
        <v>188</v>
      </c>
      <c r="K10" s="1">
        <f>80+2+15-10+10-10</f>
        <v>87</v>
      </c>
      <c r="L10" s="19">
        <f t="shared" si="5"/>
        <v>275</v>
      </c>
      <c r="M10" s="19">
        <f t="shared" si="1"/>
        <v>15905.687897267035</v>
      </c>
      <c r="N10" s="19">
        <f t="shared" si="2"/>
        <v>14348.368974737272</v>
      </c>
      <c r="O10" s="19">
        <f t="shared" si="3"/>
        <v>30254.05687200431</v>
      </c>
      <c r="P10" s="19">
        <v>7541.017399597163</v>
      </c>
      <c r="Q10" s="19">
        <f>7540.17+0.01</f>
        <v>7540.18</v>
      </c>
      <c r="R10" s="19">
        <v>7540.17</v>
      </c>
      <c r="S10" s="19">
        <v>7540.17</v>
      </c>
      <c r="T10" s="19">
        <f t="shared" si="6"/>
        <v>30161.53739959716</v>
      </c>
      <c r="U10" s="39"/>
    </row>
    <row r="11" spans="1:21" ht="38.25" customHeight="1">
      <c r="A11" s="2">
        <v>5</v>
      </c>
      <c r="B11" s="1" t="s">
        <v>16</v>
      </c>
      <c r="C11" s="1">
        <v>60</v>
      </c>
      <c r="D11" s="1">
        <v>24</v>
      </c>
      <c r="E11" s="1">
        <v>20</v>
      </c>
      <c r="F11" s="19">
        <f t="shared" si="0"/>
        <v>0.8333333333333334</v>
      </c>
      <c r="G11" s="19">
        <f>F11*C11</f>
        <v>50</v>
      </c>
      <c r="H11" s="1">
        <v>60</v>
      </c>
      <c r="I11" s="1">
        <v>0</v>
      </c>
      <c r="J11" s="19">
        <f t="shared" si="4"/>
        <v>110</v>
      </c>
      <c r="K11" s="1">
        <f>45+2</f>
        <v>47</v>
      </c>
      <c r="L11" s="19">
        <f t="shared" si="5"/>
        <v>157</v>
      </c>
      <c r="M11" s="19">
        <f t="shared" si="1"/>
        <v>9306.519514358371</v>
      </c>
      <c r="N11" s="19">
        <f t="shared" si="2"/>
        <v>7751.417721984503</v>
      </c>
      <c r="O11" s="19">
        <f t="shared" si="3"/>
        <v>17057.937236342874</v>
      </c>
      <c r="P11" s="19">
        <v>4252.349427073057</v>
      </c>
      <c r="Q11" s="19">
        <v>4251.87</v>
      </c>
      <c r="R11" s="19">
        <v>4251.87</v>
      </c>
      <c r="S11" s="19">
        <v>4251.87</v>
      </c>
      <c r="T11" s="19">
        <f t="shared" si="6"/>
        <v>17007.959427073056</v>
      </c>
      <c r="U11" s="39"/>
    </row>
    <row r="12" spans="1:21" ht="37.5" customHeight="1">
      <c r="A12" s="2">
        <v>6</v>
      </c>
      <c r="B12" s="1" t="s">
        <v>29</v>
      </c>
      <c r="C12" s="1">
        <v>175</v>
      </c>
      <c r="D12" s="1">
        <v>58</v>
      </c>
      <c r="E12" s="1">
        <v>60</v>
      </c>
      <c r="F12" s="19">
        <f t="shared" si="0"/>
        <v>1.0344827586206897</v>
      </c>
      <c r="G12" s="19">
        <f>C12</f>
        <v>175</v>
      </c>
      <c r="H12" s="1">
        <v>60</v>
      </c>
      <c r="I12" s="1">
        <v>0</v>
      </c>
      <c r="J12" s="19">
        <f>G12+H12+I12</f>
        <v>235</v>
      </c>
      <c r="K12" s="1">
        <f>88+2+15+18</f>
        <v>123</v>
      </c>
      <c r="L12" s="19">
        <f>J12+K12</f>
        <v>358</v>
      </c>
      <c r="M12" s="19">
        <f t="shared" si="1"/>
        <v>19882.109871583794</v>
      </c>
      <c r="N12" s="19">
        <f t="shared" si="2"/>
        <v>20285.625102214763</v>
      </c>
      <c r="O12" s="19">
        <f t="shared" si="3"/>
        <v>40167.73497379856</v>
      </c>
      <c r="P12" s="19">
        <v>10010.07609517954</v>
      </c>
      <c r="Q12" s="19">
        <v>10008.95</v>
      </c>
      <c r="R12" s="19">
        <v>10008.95</v>
      </c>
      <c r="S12" s="19">
        <v>10008.95</v>
      </c>
      <c r="T12" s="19">
        <f t="shared" si="6"/>
        <v>40036.926095179544</v>
      </c>
      <c r="U12" s="39"/>
    </row>
    <row r="13" spans="1:21" s="26" customFormat="1" ht="30.75" customHeight="1">
      <c r="A13" s="2">
        <v>7</v>
      </c>
      <c r="B13" s="1" t="s">
        <v>2</v>
      </c>
      <c r="C13" s="1">
        <f>70-4-4-2+20</f>
        <v>80</v>
      </c>
      <c r="D13" s="1">
        <f>41-8-5-2+8</f>
        <v>34</v>
      </c>
      <c r="E13" s="1">
        <f>50-5</f>
        <v>45</v>
      </c>
      <c r="F13" s="19">
        <f t="shared" si="0"/>
        <v>1.3235294117647058</v>
      </c>
      <c r="G13" s="19">
        <f>C13</f>
        <v>80</v>
      </c>
      <c r="H13" s="1">
        <v>40</v>
      </c>
      <c r="I13" s="1">
        <v>0</v>
      </c>
      <c r="J13" s="19">
        <f t="shared" si="4"/>
        <v>120</v>
      </c>
      <c r="K13" s="1">
        <f>97.5+2-15</f>
        <v>84.5</v>
      </c>
      <c r="L13" s="19">
        <f t="shared" si="5"/>
        <v>204.5</v>
      </c>
      <c r="M13" s="19">
        <f t="shared" si="1"/>
        <v>10152.566742936406</v>
      </c>
      <c r="N13" s="19">
        <f t="shared" si="2"/>
        <v>13936.059521440224</v>
      </c>
      <c r="O13" s="19">
        <f t="shared" si="3"/>
        <v>24088.62626437663</v>
      </c>
      <c r="P13" s="19">
        <v>6000.197162767539</v>
      </c>
      <c r="Q13" s="19">
        <v>5999.52</v>
      </c>
      <c r="R13" s="19">
        <f>5999.52+0.01</f>
        <v>5999.530000000001</v>
      </c>
      <c r="S13" s="19">
        <v>5999.52</v>
      </c>
      <c r="T13" s="19">
        <f t="shared" si="6"/>
        <v>23998.76716276754</v>
      </c>
      <c r="U13" s="6"/>
    </row>
    <row r="14" spans="1:21" ht="42" customHeight="1">
      <c r="A14" s="2">
        <v>8</v>
      </c>
      <c r="B14" s="1" t="s">
        <v>22</v>
      </c>
      <c r="C14" s="1">
        <f>120+40</f>
        <v>160</v>
      </c>
      <c r="D14" s="1">
        <v>65</v>
      </c>
      <c r="E14" s="1">
        <f>67.5-10+7.5</f>
        <v>65</v>
      </c>
      <c r="F14" s="19">
        <f t="shared" si="0"/>
        <v>1</v>
      </c>
      <c r="G14" s="19">
        <f>F14*C14</f>
        <v>160</v>
      </c>
      <c r="H14" s="1">
        <v>40</v>
      </c>
      <c r="I14" s="1">
        <v>0</v>
      </c>
      <c r="J14" s="19">
        <f t="shared" si="4"/>
        <v>200</v>
      </c>
      <c r="K14" s="1">
        <f>98+2-10+15+2-10+2.5+22.5-15+7.5-10+18+1</f>
        <v>123.5</v>
      </c>
      <c r="L14" s="19">
        <f>J14+K14</f>
        <v>323.5</v>
      </c>
      <c r="M14" s="19">
        <f t="shared" si="1"/>
        <v>16920.944571560678</v>
      </c>
      <c r="N14" s="19">
        <f t="shared" si="2"/>
        <v>20368.086992874174</v>
      </c>
      <c r="O14" s="19">
        <f t="shared" si="3"/>
        <v>37289.03156443485</v>
      </c>
      <c r="P14" s="19">
        <v>9290.205248563849</v>
      </c>
      <c r="Q14" s="19">
        <f>9289.16+0.01</f>
        <v>9289.17</v>
      </c>
      <c r="R14" s="19">
        <v>9289.16</v>
      </c>
      <c r="S14" s="19">
        <v>9289.16</v>
      </c>
      <c r="T14" s="19">
        <f t="shared" si="6"/>
        <v>37157.69524856385</v>
      </c>
      <c r="U14" s="6"/>
    </row>
    <row r="15" spans="1:21" ht="39.75" customHeight="1">
      <c r="A15" s="2">
        <v>9</v>
      </c>
      <c r="B15" s="1" t="s">
        <v>5</v>
      </c>
      <c r="C15" s="1">
        <f>77-4-2-2+20</f>
        <v>89</v>
      </c>
      <c r="D15" s="1">
        <f>33+8</f>
        <v>41</v>
      </c>
      <c r="E15" s="1">
        <v>40</v>
      </c>
      <c r="F15" s="19">
        <f t="shared" si="0"/>
        <v>0.975609756097561</v>
      </c>
      <c r="G15" s="19">
        <f>C15*0.98</f>
        <v>87.22</v>
      </c>
      <c r="H15" s="1">
        <v>40</v>
      </c>
      <c r="I15" s="1">
        <v>0</v>
      </c>
      <c r="J15" s="19">
        <f aca="true" t="shared" si="7" ref="J15:J25">G15+H15+I15</f>
        <v>127.22</v>
      </c>
      <c r="K15" s="1">
        <f>60+2+18+15+2.38</f>
        <v>97.38</v>
      </c>
      <c r="L15" s="19">
        <f t="shared" si="5"/>
        <v>224.6</v>
      </c>
      <c r="M15" s="19">
        <f t="shared" si="1"/>
        <v>10763.412841969746</v>
      </c>
      <c r="N15" s="19">
        <f t="shared" si="2"/>
        <v>16060.277824826613</v>
      </c>
      <c r="O15" s="19">
        <f t="shared" si="3"/>
        <v>26823.69066679636</v>
      </c>
      <c r="P15" s="19">
        <v>6680.594672925109</v>
      </c>
      <c r="Q15" s="19">
        <f>6679.84+0.02</f>
        <v>6679.860000000001</v>
      </c>
      <c r="R15" s="19">
        <v>6679.84</v>
      </c>
      <c r="S15" s="19">
        <v>6679.84</v>
      </c>
      <c r="T15" s="19">
        <f t="shared" si="6"/>
        <v>26720.13467292511</v>
      </c>
      <c r="U15" s="6"/>
    </row>
    <row r="16" spans="1:21" ht="39" customHeight="1">
      <c r="A16" s="2">
        <v>10</v>
      </c>
      <c r="B16" s="1" t="s">
        <v>17</v>
      </c>
      <c r="C16" s="1">
        <f>120-4</f>
        <v>116</v>
      </c>
      <c r="D16" s="1">
        <v>40</v>
      </c>
      <c r="E16" s="1">
        <f>30-10+5-5+5</f>
        <v>25</v>
      </c>
      <c r="F16" s="19">
        <f t="shared" si="0"/>
        <v>0.625</v>
      </c>
      <c r="G16" s="19">
        <f>C16*0.63</f>
        <v>73.08</v>
      </c>
      <c r="H16" s="1">
        <v>40</v>
      </c>
      <c r="I16" s="1">
        <v>0</v>
      </c>
      <c r="J16" s="19">
        <f t="shared" si="7"/>
        <v>113.08</v>
      </c>
      <c r="K16" s="1">
        <f>69.5+2-15+5-9-7.5+7.5</f>
        <v>52.5</v>
      </c>
      <c r="L16" s="19">
        <f t="shared" si="5"/>
        <v>165.57999999999998</v>
      </c>
      <c r="M16" s="19">
        <f t="shared" si="1"/>
        <v>9567.102060760406</v>
      </c>
      <c r="N16" s="19">
        <f t="shared" si="2"/>
        <v>8658.498519238008</v>
      </c>
      <c r="O16" s="19">
        <f t="shared" si="3"/>
        <v>18225.600579998412</v>
      </c>
      <c r="P16" s="19">
        <v>4542.823979245892</v>
      </c>
      <c r="Q16" s="19">
        <f>4542.31+0.02</f>
        <v>4542.330000000001</v>
      </c>
      <c r="R16" s="19">
        <v>4542.31</v>
      </c>
      <c r="S16" s="19">
        <v>4542.31</v>
      </c>
      <c r="T16" s="19">
        <f t="shared" si="6"/>
        <v>18169.773979245896</v>
      </c>
      <c r="U16" s="6"/>
    </row>
    <row r="17" spans="1:21" ht="32.25" customHeight="1">
      <c r="A17" s="2">
        <v>11</v>
      </c>
      <c r="B17" s="1" t="s">
        <v>26</v>
      </c>
      <c r="C17" s="1">
        <v>50</v>
      </c>
      <c r="D17" s="1">
        <v>20</v>
      </c>
      <c r="E17" s="1">
        <v>20</v>
      </c>
      <c r="F17" s="19">
        <f t="shared" si="0"/>
        <v>1</v>
      </c>
      <c r="G17" s="19">
        <f>C17</f>
        <v>50</v>
      </c>
      <c r="H17" s="1">
        <v>40</v>
      </c>
      <c r="I17" s="1">
        <v>0</v>
      </c>
      <c r="J17" s="19">
        <f>G17+H17+I17</f>
        <v>90</v>
      </c>
      <c r="K17" s="1">
        <f>45+2</f>
        <v>47</v>
      </c>
      <c r="L17" s="19">
        <f>J17+K17</f>
        <v>137</v>
      </c>
      <c r="M17" s="19">
        <f t="shared" si="1"/>
        <v>7614.425057202305</v>
      </c>
      <c r="N17" s="19">
        <f t="shared" si="2"/>
        <v>7751.417721984503</v>
      </c>
      <c r="O17" s="19">
        <f t="shared" si="3"/>
        <v>15365.842779186809</v>
      </c>
      <c r="P17" s="19">
        <v>3829.2936685598797</v>
      </c>
      <c r="Q17" s="19">
        <f>3828.86-0.01</f>
        <v>3828.85</v>
      </c>
      <c r="R17" s="19">
        <v>3828.86</v>
      </c>
      <c r="S17" s="19">
        <v>3828.86</v>
      </c>
      <c r="T17" s="19">
        <f t="shared" si="6"/>
        <v>15315.863668559881</v>
      </c>
      <c r="U17" s="6"/>
    </row>
    <row r="18" spans="1:21" ht="38.25" customHeight="1">
      <c r="A18" s="2">
        <v>12</v>
      </c>
      <c r="B18" s="1" t="s">
        <v>25</v>
      </c>
      <c r="C18" s="1">
        <v>80</v>
      </c>
      <c r="D18" s="1">
        <v>25</v>
      </c>
      <c r="E18" s="1">
        <v>22.5</v>
      </c>
      <c r="F18" s="19">
        <f t="shared" si="0"/>
        <v>0.9</v>
      </c>
      <c r="G18" s="19">
        <f>F18*C18</f>
        <v>72</v>
      </c>
      <c r="H18" s="1">
        <v>60</v>
      </c>
      <c r="I18" s="1">
        <v>0</v>
      </c>
      <c r="J18" s="19">
        <f t="shared" si="7"/>
        <v>132</v>
      </c>
      <c r="K18" s="1">
        <f>50.5+2</f>
        <v>52.5</v>
      </c>
      <c r="L18" s="19">
        <f>J18+K18</f>
        <v>184.5</v>
      </c>
      <c r="M18" s="19">
        <f t="shared" si="1"/>
        <v>11167.823417230047</v>
      </c>
      <c r="N18" s="19">
        <f t="shared" si="2"/>
        <v>8658.498519238008</v>
      </c>
      <c r="O18" s="19">
        <f t="shared" si="3"/>
        <v>19826.321936468055</v>
      </c>
      <c r="P18" s="19">
        <v>4943.037807059714</v>
      </c>
      <c r="Q18" s="19">
        <f>4942.48+0.01</f>
        <v>4942.49</v>
      </c>
      <c r="R18" s="19">
        <v>4942.48</v>
      </c>
      <c r="S18" s="19">
        <v>4942.48</v>
      </c>
      <c r="T18" s="19">
        <f t="shared" si="6"/>
        <v>19770.48780705971</v>
      </c>
      <c r="U18" s="6"/>
    </row>
    <row r="19" spans="1:21" ht="37.5" customHeight="1">
      <c r="A19" s="2">
        <v>13</v>
      </c>
      <c r="B19" s="1" t="s">
        <v>28</v>
      </c>
      <c r="C19" s="1">
        <f>105+15+10</f>
        <v>130</v>
      </c>
      <c r="D19" s="1">
        <v>35</v>
      </c>
      <c r="E19" s="1">
        <f>20+10</f>
        <v>30</v>
      </c>
      <c r="F19" s="19">
        <f>E19/D19</f>
        <v>0.8571428571428571</v>
      </c>
      <c r="G19" s="19">
        <f>C19*F19</f>
        <v>111.42857142857142</v>
      </c>
      <c r="H19" s="1">
        <v>40</v>
      </c>
      <c r="I19" s="1">
        <v>0</v>
      </c>
      <c r="J19" s="19">
        <f>G19+H19+I19</f>
        <v>151.42857142857142</v>
      </c>
      <c r="K19" s="1">
        <f>48+2+15</f>
        <v>65</v>
      </c>
      <c r="L19" s="19">
        <f>J19+K19</f>
        <v>216.42857142857142</v>
      </c>
      <c r="M19" s="19">
        <f t="shared" si="1"/>
        <v>12811.572318467368</v>
      </c>
      <c r="N19" s="19">
        <f t="shared" si="2"/>
        <v>10720.045785723249</v>
      </c>
      <c r="O19" s="19">
        <f t="shared" si="3"/>
        <v>23531.618104190617</v>
      </c>
      <c r="P19" s="19">
        <v>5866.115829629954</v>
      </c>
      <c r="Q19" s="19">
        <v>5865.46</v>
      </c>
      <c r="R19" s="19">
        <v>5865.46</v>
      </c>
      <c r="S19" s="19">
        <v>5865.46</v>
      </c>
      <c r="T19" s="19">
        <f t="shared" si="6"/>
        <v>23462.495829629952</v>
      </c>
      <c r="U19" s="6"/>
    </row>
    <row r="20" spans="1:21" ht="46.5" customHeight="1">
      <c r="A20" s="2">
        <v>14</v>
      </c>
      <c r="B20" s="1" t="s">
        <v>23</v>
      </c>
      <c r="C20" s="1">
        <v>60</v>
      </c>
      <c r="D20" s="1">
        <v>24</v>
      </c>
      <c r="E20" s="1">
        <f>40-10</f>
        <v>30</v>
      </c>
      <c r="F20" s="19">
        <f aca="true" t="shared" si="8" ref="F20:F31">E20/D20</f>
        <v>1.25</v>
      </c>
      <c r="G20" s="19">
        <f>C20</f>
        <v>60</v>
      </c>
      <c r="H20" s="1">
        <v>40</v>
      </c>
      <c r="I20" s="1">
        <v>0</v>
      </c>
      <c r="J20" s="19">
        <f t="shared" si="7"/>
        <v>100</v>
      </c>
      <c r="K20" s="1">
        <f>70+2-15</f>
        <v>57</v>
      </c>
      <c r="L20" s="19">
        <f>J20+K20</f>
        <v>157</v>
      </c>
      <c r="M20" s="19">
        <f t="shared" si="1"/>
        <v>8460.472285780339</v>
      </c>
      <c r="N20" s="19">
        <f t="shared" si="2"/>
        <v>9400.655535172695</v>
      </c>
      <c r="O20" s="19">
        <f t="shared" si="3"/>
        <v>17861.127820953036</v>
      </c>
      <c r="P20" s="19">
        <v>5065.028118211521</v>
      </c>
      <c r="Q20" s="19">
        <f>5064.46+0.01</f>
        <v>5064.47</v>
      </c>
      <c r="R20" s="19">
        <v>5064.46</v>
      </c>
      <c r="S20" s="19">
        <v>5064.46</v>
      </c>
      <c r="T20" s="19">
        <f t="shared" si="6"/>
        <v>20258.41811821152</v>
      </c>
      <c r="U20" s="6"/>
    </row>
    <row r="21" spans="1:21" ht="42.75" customHeight="1">
      <c r="A21" s="2">
        <v>15</v>
      </c>
      <c r="B21" s="1" t="s">
        <v>36</v>
      </c>
      <c r="C21" s="1">
        <f>395-28-4-2-2-4+20+20</f>
        <v>395</v>
      </c>
      <c r="D21" s="1">
        <f>150-32+16</f>
        <v>134</v>
      </c>
      <c r="E21" s="1">
        <f>230-10</f>
        <v>220</v>
      </c>
      <c r="F21" s="19">
        <f t="shared" si="8"/>
        <v>1.6417910447761195</v>
      </c>
      <c r="G21" s="19">
        <f>C21</f>
        <v>395</v>
      </c>
      <c r="H21" s="1">
        <v>40</v>
      </c>
      <c r="I21" s="1">
        <v>0</v>
      </c>
      <c r="J21" s="19">
        <f t="shared" si="7"/>
        <v>435</v>
      </c>
      <c r="K21" s="1">
        <f>330.72+4.06-10-40+20-20-10-0.56+9.71</f>
        <v>283.93</v>
      </c>
      <c r="L21" s="19">
        <f t="shared" si="5"/>
        <v>718.9300000000001</v>
      </c>
      <c r="M21" s="19">
        <f t="shared" si="1"/>
        <v>36803.05444314447</v>
      </c>
      <c r="N21" s="19">
        <f t="shared" si="2"/>
        <v>46826.80922985234</v>
      </c>
      <c r="O21" s="19">
        <f t="shared" si="3"/>
        <v>83629.86367299681</v>
      </c>
      <c r="P21" s="19">
        <v>20833.740958421207</v>
      </c>
      <c r="Q21" s="19">
        <f>20831.39+0.02</f>
        <v>20831.41</v>
      </c>
      <c r="R21" s="19">
        <v>20831.39</v>
      </c>
      <c r="S21" s="19">
        <v>20831.39</v>
      </c>
      <c r="T21" s="19">
        <f t="shared" si="6"/>
        <v>83327.9309584212</v>
      </c>
      <c r="U21" s="6"/>
    </row>
    <row r="22" spans="1:21" s="26" customFormat="1" ht="35.25" customHeight="1">
      <c r="A22" s="2">
        <v>16</v>
      </c>
      <c r="B22" s="1" t="s">
        <v>3</v>
      </c>
      <c r="C22" s="1">
        <f>78-4</f>
        <v>74</v>
      </c>
      <c r="D22" s="1">
        <v>38</v>
      </c>
      <c r="E22" s="1">
        <f>60-10+10+2-10+30-20-10</f>
        <v>52</v>
      </c>
      <c r="F22" s="19">
        <f t="shared" si="8"/>
        <v>1.368421052631579</v>
      </c>
      <c r="G22" s="19">
        <f>C22</f>
        <v>74</v>
      </c>
      <c r="H22" s="1">
        <v>60</v>
      </c>
      <c r="I22" s="1">
        <v>40</v>
      </c>
      <c r="J22" s="19">
        <f t="shared" si="7"/>
        <v>174</v>
      </c>
      <c r="K22" s="1">
        <f>97-10</f>
        <v>87</v>
      </c>
      <c r="L22" s="19">
        <f t="shared" si="5"/>
        <v>261</v>
      </c>
      <c r="M22" s="19">
        <f t="shared" si="1"/>
        <v>14721.221777257788</v>
      </c>
      <c r="N22" s="19">
        <f t="shared" si="2"/>
        <v>14348.368974737272</v>
      </c>
      <c r="O22" s="19">
        <f t="shared" si="3"/>
        <v>29069.59075199506</v>
      </c>
      <c r="P22" s="19">
        <v>7244.882368976065</v>
      </c>
      <c r="Q22" s="19">
        <f>7244.07-0.02</f>
        <v>7244.049999999999</v>
      </c>
      <c r="R22" s="19">
        <v>7244.07</v>
      </c>
      <c r="S22" s="19">
        <v>7244.07</v>
      </c>
      <c r="T22" s="19">
        <f t="shared" si="6"/>
        <v>28977.072368976063</v>
      </c>
      <c r="U22" s="6"/>
    </row>
    <row r="23" spans="1:21" s="26" customFormat="1" ht="35.25" customHeight="1">
      <c r="A23" s="2">
        <v>17</v>
      </c>
      <c r="B23" s="1" t="s">
        <v>53</v>
      </c>
      <c r="C23" s="1">
        <v>90</v>
      </c>
      <c r="D23" s="1">
        <v>28</v>
      </c>
      <c r="E23" s="1">
        <v>25</v>
      </c>
      <c r="F23" s="19">
        <f t="shared" si="8"/>
        <v>0.8928571428571429</v>
      </c>
      <c r="G23" s="19">
        <f>F23*C23</f>
        <v>80.35714285714286</v>
      </c>
      <c r="H23" s="1">
        <v>40</v>
      </c>
      <c r="I23" s="1">
        <v>0</v>
      </c>
      <c r="J23" s="19">
        <f t="shared" si="7"/>
        <v>120.35714285714286</v>
      </c>
      <c r="K23" s="1">
        <f>54+2-1</f>
        <v>55</v>
      </c>
      <c r="L23" s="19">
        <f t="shared" si="5"/>
        <v>175.35714285714286</v>
      </c>
      <c r="M23" s="19">
        <f t="shared" si="1"/>
        <v>10182.782715385621</v>
      </c>
      <c r="N23" s="19">
        <f t="shared" si="2"/>
        <v>9070.807972535056</v>
      </c>
      <c r="O23" s="19">
        <f t="shared" si="3"/>
        <v>19253.590687920678</v>
      </c>
      <c r="P23" s="19">
        <v>4799.185648049418</v>
      </c>
      <c r="Q23" s="19">
        <f>4798.65-0.02</f>
        <v>4798.629999999999</v>
      </c>
      <c r="R23" s="19">
        <f>4798.65-0.01</f>
        <v>4798.639999999999</v>
      </c>
      <c r="S23" s="19">
        <f>4798.65-0.01</f>
        <v>4798.639999999999</v>
      </c>
      <c r="T23" s="19">
        <f t="shared" si="6"/>
        <v>19195.095648049417</v>
      </c>
      <c r="U23" s="6"/>
    </row>
    <row r="24" spans="1:21" ht="44.25" customHeight="1">
      <c r="A24" s="2">
        <v>18</v>
      </c>
      <c r="B24" s="1" t="s">
        <v>4</v>
      </c>
      <c r="C24" s="1">
        <v>55</v>
      </c>
      <c r="D24" s="1">
        <v>20</v>
      </c>
      <c r="E24" s="1">
        <v>20</v>
      </c>
      <c r="F24" s="19">
        <f t="shared" si="8"/>
        <v>1</v>
      </c>
      <c r="G24" s="19">
        <f>F24*C24</f>
        <v>55</v>
      </c>
      <c r="H24" s="1">
        <v>40</v>
      </c>
      <c r="I24" s="1">
        <v>0</v>
      </c>
      <c r="J24" s="19">
        <f t="shared" si="7"/>
        <v>95</v>
      </c>
      <c r="K24" s="1">
        <f>45+2</f>
        <v>47</v>
      </c>
      <c r="L24" s="19">
        <f t="shared" si="5"/>
        <v>142</v>
      </c>
      <c r="M24" s="19">
        <f t="shared" si="1"/>
        <v>8037.448671491321</v>
      </c>
      <c r="N24" s="19">
        <f t="shared" si="2"/>
        <v>7751.417721984503</v>
      </c>
      <c r="O24" s="19">
        <f t="shared" si="3"/>
        <v>15788.866393475824</v>
      </c>
      <c r="P24" s="19">
        <v>3935.0526077655168</v>
      </c>
      <c r="Q24" s="19">
        <f>3934.61+0.01</f>
        <v>3934.6200000000003</v>
      </c>
      <c r="R24" s="19">
        <v>3934.61</v>
      </c>
      <c r="S24" s="19">
        <v>3934.61</v>
      </c>
      <c r="T24" s="19">
        <f t="shared" si="6"/>
        <v>15738.892607765518</v>
      </c>
      <c r="U24" s="6"/>
    </row>
    <row r="25" spans="1:21" ht="37.5" customHeight="1">
      <c r="A25" s="2">
        <v>19</v>
      </c>
      <c r="B25" s="1" t="s">
        <v>24</v>
      </c>
      <c r="C25" s="1">
        <f>261-4-2-2</f>
        <v>253</v>
      </c>
      <c r="D25" s="1">
        <v>115</v>
      </c>
      <c r="E25" s="1">
        <f>115-10-10-10</f>
        <v>85</v>
      </c>
      <c r="F25" s="19">
        <f t="shared" si="8"/>
        <v>0.7391304347826086</v>
      </c>
      <c r="G25" s="19">
        <f>F25*C25</f>
        <v>187</v>
      </c>
      <c r="H25" s="1">
        <f>300-60</f>
        <v>240</v>
      </c>
      <c r="I25" s="1">
        <v>40</v>
      </c>
      <c r="J25" s="19">
        <f t="shared" si="7"/>
        <v>467</v>
      </c>
      <c r="K25" s="1">
        <f>218+4.38-15-20-15-15</f>
        <v>157.38</v>
      </c>
      <c r="L25" s="19">
        <f>J25+K25</f>
        <v>624.38</v>
      </c>
      <c r="M25" s="19">
        <f t="shared" si="1"/>
        <v>39510.40557459418</v>
      </c>
      <c r="N25" s="19">
        <f t="shared" si="2"/>
        <v>25955.704703955766</v>
      </c>
      <c r="O25" s="19">
        <f t="shared" si="3"/>
        <v>65466.110278549946</v>
      </c>
      <c r="P25" s="19">
        <v>16326.069950457379</v>
      </c>
      <c r="Q25" s="19">
        <f>16324.23-0.01</f>
        <v>16324.22</v>
      </c>
      <c r="R25" s="19">
        <v>16324.23</v>
      </c>
      <c r="S25" s="19">
        <v>16324.23</v>
      </c>
      <c r="T25" s="19">
        <f t="shared" si="6"/>
        <v>65298.74995045738</v>
      </c>
      <c r="U25" s="6"/>
    </row>
    <row r="26" spans="1:21" ht="37.5" customHeight="1">
      <c r="A26" s="2">
        <v>20</v>
      </c>
      <c r="B26" s="1" t="s">
        <v>30</v>
      </c>
      <c r="C26" s="1">
        <f>126-4-4+20</f>
        <v>138</v>
      </c>
      <c r="D26" s="1">
        <v>40</v>
      </c>
      <c r="E26" s="1">
        <v>50</v>
      </c>
      <c r="F26" s="19">
        <f t="shared" si="8"/>
        <v>1.25</v>
      </c>
      <c r="G26" s="19">
        <f>C26</f>
        <v>138</v>
      </c>
      <c r="H26" s="1">
        <f>40+20</f>
        <v>60</v>
      </c>
      <c r="I26" s="1">
        <v>0</v>
      </c>
      <c r="J26" s="19">
        <f>G26+H26+I26</f>
        <v>198</v>
      </c>
      <c r="K26" s="1">
        <f>95+3.75-2-10+9+15</f>
        <v>110.75</v>
      </c>
      <c r="L26" s="19">
        <f>J26+K26</f>
        <v>308.75</v>
      </c>
      <c r="M26" s="19">
        <f t="shared" si="1"/>
        <v>16751.73512584507</v>
      </c>
      <c r="N26" s="19">
        <f t="shared" si="2"/>
        <v>18265.308781059226</v>
      </c>
      <c r="O26" s="19">
        <f t="shared" si="3"/>
        <v>35017.04390690429</v>
      </c>
      <c r="P26" s="19">
        <v>8725.557522081555</v>
      </c>
      <c r="Q26" s="19">
        <v>8724.57</v>
      </c>
      <c r="R26" s="19">
        <v>8724.57</v>
      </c>
      <c r="S26" s="19">
        <v>8724.57</v>
      </c>
      <c r="T26" s="19">
        <f t="shared" si="6"/>
        <v>34899.26752208156</v>
      </c>
      <c r="U26" s="6"/>
    </row>
    <row r="27" spans="1:21" ht="37.5" customHeight="1">
      <c r="A27" s="2">
        <v>21</v>
      </c>
      <c r="B27" s="1" t="s">
        <v>41</v>
      </c>
      <c r="C27" s="1">
        <v>50</v>
      </c>
      <c r="D27" s="1">
        <v>21</v>
      </c>
      <c r="E27" s="1">
        <v>22</v>
      </c>
      <c r="F27" s="19">
        <f t="shared" si="8"/>
        <v>1.0476190476190477</v>
      </c>
      <c r="G27" s="19">
        <f>C27</f>
        <v>50</v>
      </c>
      <c r="H27" s="1">
        <v>40</v>
      </c>
      <c r="I27" s="1">
        <v>0</v>
      </c>
      <c r="J27" s="19">
        <f>G27+H27+I27</f>
        <v>90</v>
      </c>
      <c r="K27" s="1">
        <f>55+2</f>
        <v>57</v>
      </c>
      <c r="L27" s="19">
        <f>J27+K27</f>
        <v>147</v>
      </c>
      <c r="M27" s="19">
        <f t="shared" si="1"/>
        <v>7614.425057202305</v>
      </c>
      <c r="N27" s="19">
        <f t="shared" si="2"/>
        <v>9400.655535172695</v>
      </c>
      <c r="O27" s="19">
        <f t="shared" si="3"/>
        <v>17015.080592375</v>
      </c>
      <c r="P27" s="19">
        <v>4238.978296886964</v>
      </c>
      <c r="Q27" s="19">
        <f>4238.5-0.01</f>
        <v>4238.49</v>
      </c>
      <c r="R27" s="19">
        <v>4238.5</v>
      </c>
      <c r="S27" s="19">
        <v>4238.5</v>
      </c>
      <c r="T27" s="19">
        <f t="shared" si="6"/>
        <v>16954.468296886964</v>
      </c>
      <c r="U27" s="6"/>
    </row>
    <row r="28" spans="1:21" ht="37.5" customHeight="1">
      <c r="A28" s="2">
        <v>22</v>
      </c>
      <c r="B28" s="1" t="s">
        <v>51</v>
      </c>
      <c r="C28" s="1">
        <v>140</v>
      </c>
      <c r="D28" s="1">
        <v>50</v>
      </c>
      <c r="E28" s="1">
        <v>50</v>
      </c>
      <c r="F28" s="19">
        <f t="shared" si="8"/>
        <v>1</v>
      </c>
      <c r="G28" s="19">
        <f>F28*C28</f>
        <v>140</v>
      </c>
      <c r="H28" s="1">
        <v>40</v>
      </c>
      <c r="I28" s="1">
        <v>0</v>
      </c>
      <c r="J28" s="19">
        <f>G28+H28+I28</f>
        <v>180</v>
      </c>
      <c r="K28" s="1">
        <f>90+2</f>
        <v>92</v>
      </c>
      <c r="L28" s="19">
        <f>J28+K28</f>
        <v>272</v>
      </c>
      <c r="M28" s="19">
        <f t="shared" si="1"/>
        <v>15228.85011440461</v>
      </c>
      <c r="N28" s="19">
        <f t="shared" si="2"/>
        <v>15172.987881331368</v>
      </c>
      <c r="O28" s="19">
        <f t="shared" si="3"/>
        <v>30401.83799573598</v>
      </c>
      <c r="P28" s="19">
        <v>7576.640410609029</v>
      </c>
      <c r="Q28" s="19">
        <f>7575.79-0.01</f>
        <v>7575.78</v>
      </c>
      <c r="R28" s="19">
        <v>7575.79</v>
      </c>
      <c r="S28" s="19">
        <v>7575.79</v>
      </c>
      <c r="T28" s="19">
        <f t="shared" si="6"/>
        <v>30304.00041060903</v>
      </c>
      <c r="U28" s="6"/>
    </row>
    <row r="29" spans="1:21" ht="37.5" customHeight="1">
      <c r="A29" s="2">
        <v>23</v>
      </c>
      <c r="B29" s="1" t="s">
        <v>52</v>
      </c>
      <c r="C29" s="1">
        <v>95</v>
      </c>
      <c r="D29" s="1">
        <v>34</v>
      </c>
      <c r="E29" s="1">
        <f>32.5+10</f>
        <v>42.5</v>
      </c>
      <c r="F29" s="19">
        <f>E29/D29</f>
        <v>1.25</v>
      </c>
      <c r="G29" s="19">
        <f>C29</f>
        <v>95</v>
      </c>
      <c r="H29" s="1">
        <v>60</v>
      </c>
      <c r="I29" s="1">
        <v>0</v>
      </c>
      <c r="J29" s="19">
        <f>I29+H29+G29</f>
        <v>155</v>
      </c>
      <c r="K29" s="1">
        <f>19+45+2.5+2+15</f>
        <v>83.5</v>
      </c>
      <c r="L29" s="19">
        <f>J29+K29</f>
        <v>238.5</v>
      </c>
      <c r="M29" s="19">
        <f t="shared" si="1"/>
        <v>13113.732042959524</v>
      </c>
      <c r="N29" s="19">
        <f t="shared" si="2"/>
        <v>13771.135740121405</v>
      </c>
      <c r="O29" s="19">
        <f t="shared" si="3"/>
        <v>26884.86778308093</v>
      </c>
      <c r="P29" s="19">
        <v>6699.586278178207</v>
      </c>
      <c r="Q29" s="19">
        <f>6698.83-0.01</f>
        <v>6698.82</v>
      </c>
      <c r="R29" s="19">
        <v>6698.83</v>
      </c>
      <c r="S29" s="19">
        <v>6698.83</v>
      </c>
      <c r="T29" s="19">
        <f t="shared" si="6"/>
        <v>26796.06627817821</v>
      </c>
      <c r="U29" s="6"/>
    </row>
    <row r="30" spans="1:21" ht="40.5" customHeight="1">
      <c r="A30" s="2">
        <v>24</v>
      </c>
      <c r="B30" s="1" t="s">
        <v>20</v>
      </c>
      <c r="C30" s="1">
        <v>70</v>
      </c>
      <c r="D30" s="1">
        <v>28</v>
      </c>
      <c r="E30" s="1">
        <v>35</v>
      </c>
      <c r="F30" s="19">
        <f t="shared" si="8"/>
        <v>1.25</v>
      </c>
      <c r="G30" s="19">
        <f>C30</f>
        <v>70</v>
      </c>
      <c r="H30" s="1">
        <v>60</v>
      </c>
      <c r="I30" s="1">
        <v>0</v>
      </c>
      <c r="J30" s="19">
        <f>G30+H30+I30</f>
        <v>130</v>
      </c>
      <c r="K30" s="1">
        <f>77+3.28</f>
        <v>80.28</v>
      </c>
      <c r="L30" s="19">
        <f t="shared" si="5"/>
        <v>210.28</v>
      </c>
      <c r="M30" s="19">
        <f t="shared" si="1"/>
        <v>10998.61397151444</v>
      </c>
      <c r="N30" s="19">
        <f t="shared" si="2"/>
        <v>13240.081164274807</v>
      </c>
      <c r="O30" s="19">
        <f t="shared" si="3"/>
        <v>24238.695135789247</v>
      </c>
      <c r="P30" s="19">
        <v>6038.840429064521</v>
      </c>
      <c r="Q30" s="19">
        <v>6038.16</v>
      </c>
      <c r="R30" s="19">
        <v>6038.16</v>
      </c>
      <c r="S30" s="19">
        <v>6038.16</v>
      </c>
      <c r="T30" s="19">
        <f t="shared" si="6"/>
        <v>24153.32042906452</v>
      </c>
      <c r="U30" s="6"/>
    </row>
    <row r="31" spans="1:21" ht="72.75" customHeight="1">
      <c r="A31" s="2">
        <v>25</v>
      </c>
      <c r="B31" s="1" t="s">
        <v>21</v>
      </c>
      <c r="C31" s="1">
        <v>255</v>
      </c>
      <c r="D31" s="1">
        <v>95</v>
      </c>
      <c r="E31" s="1">
        <f>126-10-10</f>
        <v>106</v>
      </c>
      <c r="F31" s="19">
        <f t="shared" si="8"/>
        <v>1.1157894736842104</v>
      </c>
      <c r="G31" s="19">
        <f>C31</f>
        <v>255</v>
      </c>
      <c r="H31" s="1">
        <v>60</v>
      </c>
      <c r="I31" s="1">
        <v>40</v>
      </c>
      <c r="J31" s="19">
        <f>G31+H31+I31</f>
        <v>355</v>
      </c>
      <c r="K31" s="1">
        <f>188+2-15</f>
        <v>175</v>
      </c>
      <c r="L31" s="19">
        <f t="shared" si="5"/>
        <v>530</v>
      </c>
      <c r="M31" s="19">
        <f t="shared" si="1"/>
        <v>30034.676614520202</v>
      </c>
      <c r="N31" s="19">
        <f t="shared" si="2"/>
        <v>28861.661730793363</v>
      </c>
      <c r="O31" s="19">
        <f t="shared" si="3"/>
        <v>58896.33834531356</v>
      </c>
      <c r="P31" s="19">
        <v>14678.800716095386</v>
      </c>
      <c r="Q31" s="19">
        <v>14677.14</v>
      </c>
      <c r="R31" s="19">
        <v>14677.15</v>
      </c>
      <c r="S31" s="19">
        <v>14677.16</v>
      </c>
      <c r="T31" s="19">
        <f t="shared" si="6"/>
        <v>58710.25071609538</v>
      </c>
      <c r="U31" s="6"/>
    </row>
    <row r="32" spans="1:21" ht="27.75" customHeight="1">
      <c r="A32" s="2"/>
      <c r="B32" s="1" t="s">
        <v>7</v>
      </c>
      <c r="C32" s="19">
        <f>SUM(C7:C31)</f>
        <v>3209</v>
      </c>
      <c r="D32" s="19">
        <f>SUM(D7:D31)</f>
        <v>1172</v>
      </c>
      <c r="E32" s="19">
        <f>SUM(E7:E31)</f>
        <v>1239.5</v>
      </c>
      <c r="F32" s="19"/>
      <c r="G32" s="19">
        <f>SUM(G7:G31)</f>
        <v>2949.54025974026</v>
      </c>
      <c r="H32" s="1">
        <f>SUM(H7:H31)</f>
        <v>1420</v>
      </c>
      <c r="I32" s="1">
        <f>SUM(I8:I31)</f>
        <v>136</v>
      </c>
      <c r="J32" s="19">
        <f aca="true" t="shared" si="9" ref="J32:O32">SUM(J7:J31)</f>
        <v>4505.540259740259</v>
      </c>
      <c r="K32" s="19">
        <f t="shared" si="9"/>
        <v>2311.3100000000004</v>
      </c>
      <c r="L32" s="19">
        <f t="shared" si="9"/>
        <v>6816.850259740259</v>
      </c>
      <c r="M32" s="19">
        <f t="shared" si="9"/>
        <v>381189.9850000002</v>
      </c>
      <c r="N32" s="19">
        <f t="shared" si="9"/>
        <v>381189.985</v>
      </c>
      <c r="O32" s="19">
        <f t="shared" si="9"/>
        <v>762379.9700000001</v>
      </c>
      <c r="P32" s="19">
        <v>190611.09127867204</v>
      </c>
      <c r="Q32" s="19">
        <f>SUM(Q7:Q31)</f>
        <v>190589.63</v>
      </c>
      <c r="R32" s="19">
        <f>SUM(R7:R31)</f>
        <v>190589.62000000002</v>
      </c>
      <c r="S32" s="19">
        <f>SUM(S7:S31)</f>
        <v>190589.63000000003</v>
      </c>
      <c r="T32" s="19">
        <v>762379.9658285389</v>
      </c>
      <c r="U32" s="6"/>
    </row>
    <row r="33" spans="1:20" s="26" customFormat="1" ht="17.25" customHeight="1">
      <c r="A33" s="38"/>
      <c r="B33" s="4"/>
      <c r="C33" s="39"/>
      <c r="D33" s="39"/>
      <c r="E33" s="39"/>
      <c r="F33" s="39"/>
      <c r="G33" s="39"/>
      <c r="H33" s="38"/>
      <c r="I33" s="38"/>
      <c r="J33" s="39"/>
      <c r="K33" s="39"/>
      <c r="L33" s="39"/>
      <c r="M33" s="39"/>
      <c r="N33" s="39"/>
      <c r="O33" s="51"/>
      <c r="P33" s="39"/>
      <c r="Q33" s="41"/>
      <c r="R33" s="39"/>
      <c r="S33" s="39"/>
      <c r="T33" s="39"/>
    </row>
    <row r="34" spans="1:20" s="7" customFormat="1" ht="35.25" customHeight="1" hidden="1">
      <c r="A34" s="4"/>
      <c r="B34" s="4" t="s">
        <v>55</v>
      </c>
      <c r="C34" s="6">
        <v>3370000</v>
      </c>
      <c r="D34" s="6"/>
      <c r="E34" s="6"/>
      <c r="F34" s="6"/>
      <c r="G34" s="42"/>
      <c r="H34" s="4"/>
      <c r="I34" s="4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</row>
    <row r="35" spans="1:20" s="7" customFormat="1" ht="33.75" customHeight="1" hidden="1">
      <c r="A35" s="4"/>
      <c r="B35" s="25" t="s">
        <v>46</v>
      </c>
      <c r="C35" s="29">
        <v>16356.78</v>
      </c>
      <c r="D35" s="6"/>
      <c r="E35" s="6"/>
      <c r="F35" s="6"/>
      <c r="G35" s="6"/>
      <c r="H35" s="4"/>
      <c r="I35" s="4"/>
      <c r="J35" s="6"/>
      <c r="K35" s="6"/>
      <c r="L35" s="6"/>
      <c r="M35" s="6"/>
      <c r="N35" s="6"/>
      <c r="O35" s="6"/>
      <c r="P35" s="53"/>
      <c r="Q35" s="53"/>
      <c r="R35" s="53"/>
      <c r="S35" s="53"/>
      <c r="T35" s="52"/>
    </row>
    <row r="36" spans="1:15" s="7" customFormat="1" ht="38.25" customHeight="1" hidden="1">
      <c r="A36" s="4"/>
      <c r="B36" s="25" t="s">
        <v>54</v>
      </c>
      <c r="C36" s="27">
        <f>C34-C35</f>
        <v>3353643.22</v>
      </c>
      <c r="D36" s="6"/>
      <c r="E36" s="6"/>
      <c r="F36" s="6"/>
      <c r="G36" s="6"/>
      <c r="H36" s="4"/>
      <c r="I36" s="4"/>
      <c r="J36" s="6"/>
      <c r="K36" s="6"/>
      <c r="L36" s="6"/>
      <c r="M36" s="6"/>
      <c r="N36" s="6"/>
      <c r="O36" s="6"/>
    </row>
    <row r="37" spans="1:17" s="7" customFormat="1" ht="22.5" customHeight="1" hidden="1">
      <c r="A37" s="4"/>
      <c r="B37" s="25"/>
      <c r="C37" s="27"/>
      <c r="D37" s="6"/>
      <c r="E37" s="6"/>
      <c r="F37" s="6"/>
      <c r="G37" s="6"/>
      <c r="H37" s="4"/>
      <c r="I37" s="4"/>
      <c r="J37" s="6"/>
      <c r="K37" s="6"/>
      <c r="L37" s="6"/>
      <c r="M37" s="6"/>
      <c r="N37" s="6"/>
      <c r="O37" s="6"/>
      <c r="P37" s="49"/>
      <c r="Q37" s="49"/>
    </row>
    <row r="38" spans="1:17" s="7" customFormat="1" ht="42" customHeight="1" hidden="1">
      <c r="A38" s="4"/>
      <c r="B38" s="25" t="s">
        <v>54</v>
      </c>
      <c r="C38" s="27">
        <v>3353643.22</v>
      </c>
      <c r="D38" s="6"/>
      <c r="E38" s="6"/>
      <c r="F38" s="6"/>
      <c r="G38" s="6"/>
      <c r="H38" s="4"/>
      <c r="I38" s="4"/>
      <c r="J38" s="6"/>
      <c r="K38" s="6"/>
      <c r="L38" s="6"/>
      <c r="M38" s="6"/>
      <c r="N38" s="6"/>
      <c r="O38" s="6"/>
      <c r="P38" s="49"/>
      <c r="Q38" s="49"/>
    </row>
    <row r="39" spans="1:15" s="7" customFormat="1" ht="47.25" customHeight="1" hidden="1">
      <c r="A39" s="4"/>
      <c r="B39" s="25" t="s">
        <v>56</v>
      </c>
      <c r="C39" s="27">
        <v>2505202</v>
      </c>
      <c r="D39" s="6"/>
      <c r="E39" s="6"/>
      <c r="F39" s="6"/>
      <c r="G39" s="6"/>
      <c r="H39" s="4"/>
      <c r="I39" s="4"/>
      <c r="J39" s="6"/>
      <c r="K39" s="6"/>
      <c r="L39" s="6"/>
      <c r="M39" s="6"/>
      <c r="N39" s="6"/>
      <c r="O39" s="6"/>
    </row>
    <row r="40" spans="1:15" s="7" customFormat="1" ht="46.5" customHeight="1" hidden="1">
      <c r="A40" s="4"/>
      <c r="B40" s="5" t="s">
        <v>71</v>
      </c>
      <c r="C40" s="29">
        <f>C38-C39</f>
        <v>848441.2200000002</v>
      </c>
      <c r="D40" s="6"/>
      <c r="E40" s="43"/>
      <c r="F40" s="6"/>
      <c r="G40" s="6"/>
      <c r="H40" s="4"/>
      <c r="I40" s="4"/>
      <c r="J40" s="6"/>
      <c r="K40" s="6"/>
      <c r="L40" s="6"/>
      <c r="M40" s="6"/>
      <c r="N40" s="6"/>
      <c r="O40" s="6"/>
    </row>
    <row r="41" spans="1:15" s="7" customFormat="1" ht="21" customHeight="1" hidden="1">
      <c r="A41" s="4"/>
      <c r="B41" s="5"/>
      <c r="C41" s="31"/>
      <c r="D41" s="6"/>
      <c r="E41" s="43"/>
      <c r="F41" s="6"/>
      <c r="G41" s="6"/>
      <c r="H41" s="4"/>
      <c r="I41" s="4"/>
      <c r="J41" s="6"/>
      <c r="K41" s="6"/>
      <c r="L41" s="6"/>
      <c r="M41" s="6"/>
      <c r="N41" s="6"/>
      <c r="O41" s="6"/>
    </row>
    <row r="42" spans="1:15" s="7" customFormat="1" ht="33" customHeight="1" hidden="1">
      <c r="A42" s="4"/>
      <c r="B42" s="5" t="s">
        <v>57</v>
      </c>
      <c r="C42" s="27">
        <f>C38</f>
        <v>3353643.22</v>
      </c>
      <c r="D42" s="6"/>
      <c r="E42" s="36"/>
      <c r="F42" s="36"/>
      <c r="G42" s="36"/>
      <c r="H42" s="37"/>
      <c r="I42" s="37"/>
      <c r="J42" s="36"/>
      <c r="K42" s="6"/>
      <c r="L42" s="6"/>
      <c r="M42" s="6"/>
      <c r="N42" s="6"/>
      <c r="O42" s="6"/>
    </row>
    <row r="43" spans="2:15" s="7" customFormat="1" ht="22.5" customHeight="1" hidden="1">
      <c r="B43" s="25" t="s">
        <v>47</v>
      </c>
      <c r="C43" s="32" t="s">
        <v>48</v>
      </c>
      <c r="D43" s="6"/>
      <c r="E43" s="36"/>
      <c r="F43" s="36"/>
      <c r="G43" s="36"/>
      <c r="H43" s="37"/>
      <c r="I43" s="37"/>
      <c r="J43" s="36"/>
      <c r="K43" s="6"/>
      <c r="L43" s="6"/>
      <c r="M43" s="6"/>
      <c r="N43" s="6"/>
      <c r="O43" s="6"/>
    </row>
    <row r="44" spans="2:15" s="7" customFormat="1" ht="22.5" customHeight="1" hidden="1">
      <c r="B44" s="25"/>
      <c r="C44" s="32"/>
      <c r="D44" s="6"/>
      <c r="E44" s="36"/>
      <c r="F44" s="36"/>
      <c r="G44" s="36"/>
      <c r="H44" s="37"/>
      <c r="I44" s="37"/>
      <c r="J44" s="36"/>
      <c r="K44" s="6"/>
      <c r="L44" s="6"/>
      <c r="M44" s="6"/>
      <c r="N44" s="6"/>
      <c r="O44" s="6"/>
    </row>
    <row r="45" spans="1:15" s="7" customFormat="1" ht="31.5" customHeight="1" hidden="1">
      <c r="A45" s="4">
        <v>1</v>
      </c>
      <c r="B45" s="44" t="s">
        <v>59</v>
      </c>
      <c r="C45" s="45">
        <f>C42*10.3%</f>
        <v>345425.25166000007</v>
      </c>
      <c r="D45" s="33"/>
      <c r="E45" s="36"/>
      <c r="F45" s="36"/>
      <c r="G45" s="36"/>
      <c r="H45" s="37"/>
      <c r="I45" s="37"/>
      <c r="J45" s="36"/>
      <c r="K45" s="6"/>
      <c r="L45" s="6"/>
      <c r="M45" s="6"/>
      <c r="N45" s="6"/>
      <c r="O45" s="10"/>
    </row>
    <row r="46" spans="1:15" s="7" customFormat="1" ht="33" customHeight="1" hidden="1">
      <c r="A46" s="4">
        <v>2</v>
      </c>
      <c r="B46" s="44" t="s">
        <v>58</v>
      </c>
      <c r="C46" s="45">
        <f>C42-C45</f>
        <v>3008217.96834</v>
      </c>
      <c r="D46" s="33"/>
      <c r="E46" s="36"/>
      <c r="F46" s="36"/>
      <c r="G46" s="36"/>
      <c r="H46" s="37"/>
      <c r="I46" s="37"/>
      <c r="J46" s="36"/>
      <c r="K46" s="6"/>
      <c r="L46" s="6"/>
      <c r="M46" s="6"/>
      <c r="N46" s="6"/>
      <c r="O46" s="10"/>
    </row>
    <row r="47" spans="1:15" s="7" customFormat="1" ht="23.25" customHeight="1" hidden="1">
      <c r="A47" s="4"/>
      <c r="B47" s="44"/>
      <c r="C47" s="3"/>
      <c r="D47" s="33"/>
      <c r="E47" s="36"/>
      <c r="F47" s="36"/>
      <c r="G47" s="36"/>
      <c r="H47" s="37"/>
      <c r="I47" s="37"/>
      <c r="J47" s="36"/>
      <c r="K47" s="6"/>
      <c r="L47" s="6"/>
      <c r="M47" s="6"/>
      <c r="N47" s="6"/>
      <c r="O47" s="10"/>
    </row>
    <row r="48" spans="1:15" s="7" customFormat="1" ht="30.75" customHeight="1" hidden="1">
      <c r="A48" s="4">
        <v>1</v>
      </c>
      <c r="B48" s="5" t="s">
        <v>60</v>
      </c>
      <c r="C48" s="3">
        <v>345425.25</v>
      </c>
      <c r="D48" s="33"/>
      <c r="E48" s="36"/>
      <c r="F48" s="36"/>
      <c r="G48" s="36"/>
      <c r="H48" s="37"/>
      <c r="I48" s="37"/>
      <c r="J48" s="36"/>
      <c r="K48" s="6"/>
      <c r="L48" s="6"/>
      <c r="M48" s="6"/>
      <c r="N48" s="6"/>
      <c r="O48" s="10"/>
    </row>
    <row r="49" spans="1:15" s="7" customFormat="1" ht="33" customHeight="1" hidden="1">
      <c r="A49" s="4"/>
      <c r="B49" s="30" t="s">
        <v>61</v>
      </c>
      <c r="C49" s="32">
        <v>259364</v>
      </c>
      <c r="D49" s="33"/>
      <c r="E49" s="36"/>
      <c r="F49" s="36"/>
      <c r="G49" s="36"/>
      <c r="H49" s="37"/>
      <c r="I49" s="37"/>
      <c r="J49" s="36"/>
      <c r="K49" s="6"/>
      <c r="L49" s="6"/>
      <c r="M49" s="6"/>
      <c r="N49" s="17"/>
      <c r="O49" s="10"/>
    </row>
    <row r="50" spans="1:15" s="7" customFormat="1" ht="33" customHeight="1" hidden="1">
      <c r="A50" s="4"/>
      <c r="B50" s="30" t="s">
        <v>68</v>
      </c>
      <c r="C50" s="32">
        <f>C48-C49</f>
        <v>86061.25</v>
      </c>
      <c r="D50" s="35"/>
      <c r="E50" s="36"/>
      <c r="F50" s="36"/>
      <c r="G50" s="36"/>
      <c r="H50" s="37"/>
      <c r="I50" s="37"/>
      <c r="J50" s="36"/>
      <c r="K50" s="6"/>
      <c r="L50" s="6"/>
      <c r="M50" s="6"/>
      <c r="N50" s="17"/>
      <c r="O50" s="10"/>
    </row>
    <row r="51" spans="1:15" s="7" customFormat="1" ht="21" customHeight="1" hidden="1">
      <c r="A51" s="4"/>
      <c r="B51" s="30"/>
      <c r="C51" s="34"/>
      <c r="D51" s="47"/>
      <c r="E51" s="36"/>
      <c r="F51" s="48"/>
      <c r="G51" s="36"/>
      <c r="H51" s="37"/>
      <c r="I51" s="37"/>
      <c r="J51" s="36"/>
      <c r="K51" s="6"/>
      <c r="L51" s="6"/>
      <c r="M51" s="6"/>
      <c r="N51" s="17"/>
      <c r="O51" s="10"/>
    </row>
    <row r="52" spans="1:15" s="7" customFormat="1" ht="35.25" customHeight="1" hidden="1">
      <c r="A52" s="4">
        <v>2</v>
      </c>
      <c r="B52" s="30" t="s">
        <v>62</v>
      </c>
      <c r="C52" s="3">
        <v>3008217.97</v>
      </c>
      <c r="D52" s="40"/>
      <c r="E52" s="36"/>
      <c r="F52" s="36"/>
      <c r="G52" s="36"/>
      <c r="H52" s="37"/>
      <c r="I52" s="37"/>
      <c r="J52" s="36"/>
      <c r="K52" s="6"/>
      <c r="L52" s="6"/>
      <c r="M52" s="6"/>
      <c r="N52" s="17"/>
      <c r="O52" s="10"/>
    </row>
    <row r="53" spans="1:15" s="7" customFormat="1" ht="35.25" customHeight="1" hidden="1">
      <c r="A53" s="4"/>
      <c r="B53" s="5" t="s">
        <v>63</v>
      </c>
      <c r="C53" s="3">
        <v>2245838</v>
      </c>
      <c r="D53" s="35"/>
      <c r="E53" s="6"/>
      <c r="F53" s="6"/>
      <c r="G53" s="6"/>
      <c r="H53" s="4"/>
      <c r="I53" s="4"/>
      <c r="J53" s="6"/>
      <c r="K53" s="6"/>
      <c r="L53" s="6"/>
      <c r="M53" s="6"/>
      <c r="N53" s="17"/>
      <c r="O53" s="10"/>
    </row>
    <row r="54" spans="1:14" ht="33" customHeight="1" hidden="1">
      <c r="A54" s="4"/>
      <c r="B54" s="5" t="s">
        <v>76</v>
      </c>
      <c r="C54" s="3">
        <f>C52-C53</f>
        <v>762379.9700000002</v>
      </c>
      <c r="D54" s="21"/>
      <c r="E54" s="46"/>
      <c r="F54" s="22"/>
      <c r="G54" s="11" t="s">
        <v>19</v>
      </c>
      <c r="J54" s="16"/>
      <c r="K54" s="16" t="s">
        <v>37</v>
      </c>
      <c r="L54" s="16"/>
      <c r="M54" s="7"/>
      <c r="N54" s="7"/>
    </row>
    <row r="55" spans="1:14" ht="22.5" customHeight="1" hidden="1">
      <c r="A55" s="4"/>
      <c r="B55" s="12" t="s">
        <v>39</v>
      </c>
      <c r="D55" s="3">
        <f>C54/2</f>
        <v>381189.9850000001</v>
      </c>
      <c r="E55" s="13"/>
      <c r="F55" s="8"/>
      <c r="G55" s="11" t="s">
        <v>49</v>
      </c>
      <c r="J55" s="11" t="s">
        <v>32</v>
      </c>
      <c r="K55" s="7"/>
      <c r="L55" s="11"/>
      <c r="M55" s="11" t="s">
        <v>31</v>
      </c>
      <c r="N55" s="7"/>
    </row>
    <row r="56" spans="1:14" ht="24" customHeight="1" hidden="1">
      <c r="A56" s="4"/>
      <c r="B56" s="12" t="s">
        <v>65</v>
      </c>
      <c r="D56" s="14">
        <f>D55/J32</f>
        <v>84.60472285780338</v>
      </c>
      <c r="E56" s="13"/>
      <c r="J56" s="11" t="s">
        <v>27</v>
      </c>
      <c r="K56" s="7"/>
      <c r="L56" s="11"/>
      <c r="M56" s="11" t="s">
        <v>40</v>
      </c>
      <c r="N56" s="7"/>
    </row>
    <row r="57" spans="1:14" ht="21" customHeight="1" hidden="1">
      <c r="A57" s="4"/>
      <c r="B57" s="12" t="s">
        <v>66</v>
      </c>
      <c r="D57" s="3">
        <f>C54/2</f>
        <v>381189.9850000001</v>
      </c>
      <c r="E57" s="15"/>
      <c r="J57" s="11" t="s">
        <v>45</v>
      </c>
      <c r="K57" s="7"/>
      <c r="L57" s="11"/>
      <c r="M57" s="11" t="s">
        <v>33</v>
      </c>
      <c r="N57" s="7"/>
    </row>
    <row r="58" spans="1:14" ht="18.75" customHeight="1" hidden="1">
      <c r="A58" s="4"/>
      <c r="B58" s="12" t="s">
        <v>64</v>
      </c>
      <c r="D58" s="14">
        <f>D57/K32</f>
        <v>164.9237813188192</v>
      </c>
      <c r="E58" s="15"/>
      <c r="F58" s="9"/>
      <c r="J58" s="11" t="s">
        <v>38</v>
      </c>
      <c r="K58" s="10"/>
      <c r="L58" s="11"/>
      <c r="M58" s="7"/>
      <c r="N58" s="7"/>
    </row>
    <row r="59" spans="1:6" ht="19.5" customHeight="1">
      <c r="A59" s="12"/>
      <c r="B59" s="12"/>
      <c r="D59" s="14"/>
      <c r="E59" s="15"/>
      <c r="F59" s="9"/>
    </row>
    <row r="60" ht="14.25">
      <c r="B60" s="55"/>
    </row>
    <row r="61" ht="15.75">
      <c r="B61" s="11"/>
    </row>
  </sheetData>
  <sheetProtection/>
  <printOptions/>
  <pageMargins left="0.1" right="0.1" top="0.2" bottom="0.19" header="0.236220472440945" footer="0.15748031496063"/>
  <pageSetup horizontalDpi="600" verticalDpi="600" orientation="landscape" paperSize="9" scale="65" r:id="rId1"/>
  <headerFooter alignWithMargins="0">
    <oddFooter>&amp;C&amp;P</oddFooter>
  </headerFooter>
  <rowBreaks count="1" manualBreakCount="1">
    <brk id="24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computer23</dc:creator>
  <cp:keywords/>
  <dc:description/>
  <cp:lastModifiedBy>Mariana Mihai</cp:lastModifiedBy>
  <cp:lastPrinted>2020-10-08T07:28:19Z</cp:lastPrinted>
  <dcterms:created xsi:type="dcterms:W3CDTF">2008-04-09T11:23:43Z</dcterms:created>
  <dcterms:modified xsi:type="dcterms:W3CDTF">2020-10-08T07:29:27Z</dcterms:modified>
  <cp:category/>
  <cp:version/>
  <cp:contentType/>
  <cp:contentStatus/>
</cp:coreProperties>
</file>